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ALISASI BR &amp; RLH 2017-2023\"/>
    </mc:Choice>
  </mc:AlternateContent>
  <xr:revisionPtr revIDLastSave="0" documentId="13_ncr:1_{1F54F212-405A-415C-8FCD-873E2C2B1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P" sheetId="7" r:id="rId1"/>
  </sheets>
  <definedNames>
    <definedName name="_xlnm.Print_Area" localSheetId="0">KOP!$A$1:$H$69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C17" i="7"/>
  <c r="C40" i="7"/>
  <c r="E28" i="7" l="1"/>
  <c r="J28" i="7" s="1"/>
  <c r="E23" i="7"/>
  <c r="G23" i="7" s="1"/>
  <c r="E51" i="7"/>
  <c r="G51" i="7" l="1"/>
  <c r="C46" i="7" l="1"/>
  <c r="C51" i="7"/>
  <c r="O31" i="7" l="1"/>
  <c r="J89" i="7" l="1"/>
  <c r="J87" i="7"/>
  <c r="J85" i="7"/>
  <c r="J83" i="7"/>
  <c r="P80" i="7"/>
  <c r="J79" i="7"/>
  <c r="J77" i="7"/>
  <c r="O74" i="7"/>
  <c r="L68" i="7"/>
  <c r="P67" i="7"/>
  <c r="M65" i="7"/>
  <c r="P64" i="7"/>
  <c r="N62" i="7"/>
  <c r="Q61" i="7"/>
  <c r="M59" i="7"/>
  <c r="Y57" i="7"/>
  <c r="O46" i="7"/>
  <c r="J46" i="7"/>
  <c r="E46" i="7"/>
  <c r="G46" i="7" s="1"/>
  <c r="M45" i="7"/>
  <c r="R43" i="7"/>
  <c r="M43" i="7"/>
  <c r="K43" i="7"/>
  <c r="R42" i="7"/>
  <c r="E40" i="7"/>
  <c r="E57" i="7" s="1"/>
  <c r="N39" i="7"/>
  <c r="X37" i="7"/>
  <c r="Q37" i="7"/>
  <c r="K34" i="7"/>
  <c r="E34" i="7"/>
  <c r="G34" i="7" s="1"/>
  <c r="C34" i="7"/>
  <c r="Q33" i="7"/>
  <c r="J32" i="7"/>
  <c r="N28" i="7"/>
  <c r="J29" i="7"/>
  <c r="G28" i="7"/>
  <c r="C28" i="7"/>
  <c r="C57" i="7" s="1"/>
  <c r="Y27" i="7"/>
  <c r="Q26" i="7"/>
  <c r="Q27" i="7" s="1"/>
  <c r="Q28" i="7" s="1"/>
  <c r="L25" i="7"/>
  <c r="P24" i="7"/>
  <c r="C23" i="7"/>
  <c r="L22" i="7"/>
  <c r="J22" i="7"/>
  <c r="V20" i="7"/>
  <c r="J20" i="7"/>
  <c r="V19" i="7"/>
  <c r="Q19" i="7"/>
  <c r="Q20" i="7" s="1"/>
  <c r="O17" i="7"/>
  <c r="G17" i="7"/>
  <c r="J81" i="7"/>
  <c r="Q16" i="7"/>
  <c r="R16" i="7" s="1"/>
  <c r="Q15" i="7"/>
  <c r="K15" i="7"/>
  <c r="N11" i="7"/>
  <c r="Q10" i="7"/>
  <c r="N10" i="7"/>
  <c r="N7" i="7"/>
  <c r="N6" i="7"/>
  <c r="N5" i="7"/>
  <c r="J33" i="7" l="1"/>
  <c r="M32" i="7" s="1"/>
  <c r="G40" i="7"/>
  <c r="K40" i="7"/>
  <c r="J75" i="7"/>
  <c r="J57" i="7" l="1"/>
  <c r="J58" i="7" s="1"/>
  <c r="R57" i="7"/>
</calcChain>
</file>

<file path=xl/sharedStrings.xml><?xml version="1.0" encoding="utf-8"?>
<sst xmlns="http://schemas.openxmlformats.org/spreadsheetml/2006/main" count="149" uniqueCount="59">
  <si>
    <t>Unit</t>
  </si>
  <si>
    <t>Yang Terealisasi</t>
  </si>
  <si>
    <t>APBD Kampar (Bedah Rumah)</t>
  </si>
  <si>
    <t>Target</t>
  </si>
  <si>
    <t>No</t>
  </si>
  <si>
    <t>Uraian</t>
  </si>
  <si>
    <t>REKAP PEMBANGUNAN RUMAH LAYAK HUNI DAN BEDAH RUMAH</t>
  </si>
  <si>
    <t xml:space="preserve">Ket </t>
  </si>
  <si>
    <t>APBD Kampar (RLH)</t>
  </si>
  <si>
    <t>APBD Provinsi (RLH)</t>
  </si>
  <si>
    <t>Tahun 2017</t>
  </si>
  <si>
    <t>jumlah pertahun dibagi backlok x 100%</t>
  </si>
  <si>
    <t>Tahun 2018</t>
  </si>
  <si>
    <t>APBD Kampar (Rehab Rumah)</t>
  </si>
  <si>
    <t>BSPS APBN (Bedah Rumah) Satker Prov</t>
  </si>
  <si>
    <t>Tahun 2019</t>
  </si>
  <si>
    <t>Dana Alokasi Khusus (DAK)</t>
  </si>
  <si>
    <t>BSPS</t>
  </si>
  <si>
    <t>Tahun 2020</t>
  </si>
  <si>
    <t>Tahun 2021</t>
  </si>
  <si>
    <t xml:space="preserve">BSPS APBN (Bedah Rumah) Dana Loan </t>
  </si>
  <si>
    <t>SYARKANI ARIEF, ST</t>
  </si>
  <si>
    <t>NIP. 19760301 200501 1 007</t>
  </si>
  <si>
    <t>sisa</t>
  </si>
  <si>
    <t>Sisa 2021</t>
  </si>
  <si>
    <t>Tahun 2022</t>
  </si>
  <si>
    <t>Jumlah</t>
  </si>
  <si>
    <t>Total</t>
  </si>
  <si>
    <t>-</t>
  </si>
  <si>
    <t>Persent
(%)</t>
  </si>
  <si>
    <t>BSPS APBN (Pemb. Baru dan Peningkatan Kualitas)</t>
  </si>
  <si>
    <t>BSPS (Peningkatan Kualitas)</t>
  </si>
  <si>
    <t>(BEDAH RUMAH)</t>
  </si>
  <si>
    <t>(RTLH)</t>
  </si>
  <si>
    <t>PENINGKATAN KUALITAS</t>
  </si>
  <si>
    <t>Ir. CHALISMAN, MT</t>
  </si>
  <si>
    <t>Pembina Utama Muda</t>
  </si>
  <si>
    <t>NIP. 19631026 199303 1 002</t>
  </si>
  <si>
    <t>td malam</t>
  </si>
  <si>
    <t>tgl 29.06.22</t>
  </si>
  <si>
    <t>rumus pencarian 2017</t>
  </si>
  <si>
    <t>rumus pencarian 2018</t>
  </si>
  <si>
    <t>Tahun 2023</t>
  </si>
  <si>
    <t>wali data perumahan</t>
  </si>
  <si>
    <t>DATA HAM</t>
  </si>
  <si>
    <t>KEPALA DINAS PERUMAHAN RAKYAT DAN KAWASAN PERMUKIMAN KABUPATEN KAMPAR</t>
  </si>
  <si>
    <t>karna sebelumnya tdk dmasukkan APBDP</t>
  </si>
  <si>
    <t>→</t>
  </si>
  <si>
    <t>PEMERINTAH KABUPATEN KAMPAR</t>
  </si>
  <si>
    <t>DINAS PERUMAHAN RAKYAT DAN KAWASAN PERMUKIMAN</t>
  </si>
  <si>
    <t xml:space="preserve">   ALAMAT : JALAN LINGKAR (STA.8+000) e-Mail : perkim.kampar.riau@gmail.com</t>
  </si>
  <si>
    <t xml:space="preserve">B A N G K I N A N G       </t>
  </si>
  <si>
    <t xml:space="preserve"> Kode Pos : 28412</t>
  </si>
  <si>
    <t>Target Bantuan Peningkatan Kualitas dan Pembangunan Baru Rumah di Kabupaten Kampar :</t>
  </si>
  <si>
    <t>RUSDI HANIP. ST.MT</t>
  </si>
  <si>
    <t>Pembina (IV/a)</t>
  </si>
  <si>
    <t>NIP. 19710707 199603 1 003</t>
  </si>
  <si>
    <t>Tahun 2024</t>
  </si>
  <si>
    <t>DARI TAHUN 2017 SAMPAI DENGAN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</si>
</sst>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9" x14ac:knownFonts="1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u/>
      <sz val="12"/>
      <color theme="1"/>
      <name val="Cambria"/>
      <family val="1"/>
      <scheme val="major"/>
    </font>
    <font>
      <sz val="11"/>
      <color theme="1"/>
      <name val="Calibri"/>
      <family val="2"/>
      <charset val="1"/>
      <scheme val="minor"/>
    </font>
    <font>
      <b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</font>
    <font>
      <sz val="12"/>
      <name val="Cambria"/>
      <family val="1"/>
      <scheme val="major"/>
    </font>
    <font>
      <b/>
      <sz val="14"/>
      <color rgb="FF000000"/>
      <name val="Cambria"/>
      <family val="1"/>
    </font>
    <font>
      <b/>
      <sz val="12"/>
      <color rgb="FFFF0000"/>
      <name val="Calibri"/>
      <family val="2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Book Antiqua"/>
      <family val="1"/>
    </font>
    <font>
      <b/>
      <sz val="16"/>
      <color theme="1"/>
      <name val="Times New Roman"/>
      <family val="1"/>
    </font>
    <font>
      <b/>
      <sz val="9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2"/>
      <name val="Cambria"/>
      <family val="1"/>
      <scheme val="major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0"/>
  </cellStyleXfs>
  <cellXfs count="117">
    <xf numFmtId="0" fontId="0" fillId="0" borderId="0" xfId="0"/>
    <xf numFmtId="164" fontId="2" fillId="0" borderId="7" xfId="1" applyFont="1" applyBorder="1" applyAlignment="1">
      <alignment vertical="center"/>
    </xf>
    <xf numFmtId="164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1" applyFont="1" applyBorder="1" applyAlignment="1">
      <alignment horizontal="right" vertical="center"/>
    </xf>
    <xf numFmtId="164" fontId="4" fillId="0" borderId="0" xfId="1" applyFont="1" applyBorder="1" applyAlignment="1">
      <alignment horizontal="left" vertical="center"/>
    </xf>
    <xf numFmtId="164" fontId="2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164" fontId="3" fillId="0" borderId="2" xfId="1" applyFont="1" applyBorder="1" applyAlignment="1">
      <alignment horizontal="right" vertical="center"/>
    </xf>
    <xf numFmtId="164" fontId="3" fillId="0" borderId="3" xfId="1" applyFont="1" applyBorder="1" applyAlignment="1">
      <alignment horizontal="left" vertical="center"/>
    </xf>
    <xf numFmtId="164" fontId="1" fillId="0" borderId="2" xfId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2" fontId="1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4" fontId="3" fillId="0" borderId="4" xfId="1" applyFont="1" applyBorder="1" applyAlignment="1">
      <alignment horizontal="right" vertical="center"/>
    </xf>
    <xf numFmtId="164" fontId="3" fillId="0" borderId="5" xfId="1" applyFont="1" applyBorder="1" applyAlignment="1">
      <alignment horizontal="left" vertical="center"/>
    </xf>
    <xf numFmtId="164" fontId="1" fillId="0" borderId="4" xfId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vertical="center"/>
    </xf>
    <xf numFmtId="164" fontId="3" fillId="0" borderId="7" xfId="1" applyFont="1" applyBorder="1" applyAlignment="1">
      <alignment horizontal="right" vertical="center"/>
    </xf>
    <xf numFmtId="164" fontId="3" fillId="0" borderId="8" xfId="1" applyFont="1" applyBorder="1" applyAlignment="1">
      <alignment horizontal="left" vertical="center"/>
    </xf>
    <xf numFmtId="164" fontId="1" fillId="0" borderId="7" xfId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9" fontId="2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3" fillId="0" borderId="6" xfId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6" fontId="1" fillId="0" borderId="0" xfId="2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9" fontId="1" fillId="0" borderId="0" xfId="3" applyFont="1" applyAlignment="1">
      <alignment vertical="center"/>
    </xf>
    <xf numFmtId="0" fontId="8" fillId="0" borderId="0" xfId="0" applyFont="1" applyAlignment="1">
      <alignment vertical="center"/>
    </xf>
    <xf numFmtId="166" fontId="9" fillId="0" borderId="0" xfId="2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3" fillId="0" borderId="0" xfId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3" fillId="0" borderId="8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165" fontId="2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2" fontId="12" fillId="2" borderId="0" xfId="0" applyNumberFormat="1" applyFont="1" applyFill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1" fillId="0" borderId="4" xfId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9" fontId="2" fillId="0" borderId="9" xfId="3" applyFont="1" applyBorder="1" applyAlignment="1">
      <alignment horizontal="center" vertical="center"/>
    </xf>
    <xf numFmtId="164" fontId="1" fillId="0" borderId="6" xfId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9" fontId="2" fillId="0" borderId="11" xfId="3" applyFont="1" applyBorder="1" applyAlignment="1">
      <alignment horizontal="center" vertical="center"/>
    </xf>
    <xf numFmtId="9" fontId="2" fillId="0" borderId="10" xfId="3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1" fillId="0" borderId="0" xfId="1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165" fontId="1" fillId="0" borderId="0" xfId="2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3" fillId="2" borderId="0" xfId="0" applyNumberFormat="1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" fillId="0" borderId="0" xfId="1" applyFont="1" applyBorder="1" applyAlignment="1">
      <alignment horizontal="center" vertical="center"/>
    </xf>
    <xf numFmtId="164" fontId="4" fillId="0" borderId="0" xfId="1" applyFont="1" applyBorder="1" applyAlignment="1">
      <alignment horizontal="center" vertical="center" wrapText="1"/>
    </xf>
  </cellXfs>
  <cellStyles count="5">
    <cellStyle name="Comma" xfId="2" builtinId="3"/>
    <cellStyle name="Comma [0]" xfId="1" builtinId="6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154885</xdr:colOff>
      <xdr:row>0</xdr:row>
      <xdr:rowOff>84068</xdr:rowOff>
    </xdr:from>
    <xdr:to>
      <xdr:col>1</xdr:col>
      <xdr:colOff>600076</xdr:colOff>
      <xdr:row>4</xdr:row>
      <xdr:rowOff>153642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85" y="84068"/>
          <a:ext cx="759516" cy="1031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76201</xdr:colOff>
      <xdr:row>4</xdr:row>
      <xdr:rowOff>238121</xdr:rowOff>
    </xdr:from>
    <xdr:to>
      <xdr:col>7</xdr:col>
      <xdr:colOff>552451</xdr:colOff>
      <xdr:row>5</xdr:row>
      <xdr:rowOff>45715</xdr:rowOff>
    </xdr:to>
    <xdr:sp macro="" textlink="">
      <xdr:nvSpPr>
        <xdr:cNvPr id="3" name="Straight Arrow Connector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76201" y="1200146"/>
          <a:ext cx="7581900" cy="45719"/>
        </a:xfrm>
        <a:prstGeom prst="straightConnector1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"/>
  <sheetViews>
    <sheetView tabSelected="1" view="pageBreakPreview" topLeftCell="A13" zoomScaleSheetLayoutView="100" workbookViewId="0">
      <selection activeCell="E37" sqref="E37"/>
    </sheetView>
  </sheetViews>
  <sheetFormatPr defaultColWidth="9.140625" defaultRowHeight="15.75" x14ac:dyDescent="0.25"/>
  <cols>
    <col min="1" max="1" width="4.7109375" style="9" customWidth="1"/>
    <col min="2" max="2" width="51.7109375" style="9" customWidth="1"/>
    <col min="3" max="3" width="10.28515625" style="9" customWidth="1"/>
    <col min="4" max="4" width="7" style="9" customWidth="1"/>
    <col min="5" max="5" width="27.42578125" style="9" customWidth="1"/>
    <col min="6" max="6" width="6.7109375" style="9" customWidth="1"/>
    <col min="7" max="7" width="9.85546875" style="9" customWidth="1"/>
    <col min="8" max="8" width="8.7109375" style="9" customWidth="1"/>
    <col min="9" max="9" width="9.140625" style="9"/>
    <col min="10" max="10" width="12.28515625" style="9" bestFit="1" customWidth="1"/>
    <col min="11" max="11" width="9.140625" style="9"/>
    <col min="12" max="12" width="9.42578125" style="9" bestFit="1" customWidth="1"/>
    <col min="13" max="13" width="9.140625" style="9"/>
    <col min="14" max="14" width="11.5703125" style="9" bestFit="1" customWidth="1"/>
    <col min="15" max="15" width="14.28515625" style="9" bestFit="1" customWidth="1"/>
    <col min="16" max="16" width="10.28515625" style="9" bestFit="1" customWidth="1"/>
    <col min="17" max="17" width="11.85546875" style="9" bestFit="1" customWidth="1"/>
    <col min="18" max="18" width="36.42578125" style="9" customWidth="1"/>
    <col min="19" max="16384" width="9.140625" style="9"/>
  </cols>
  <sheetData>
    <row r="1" spans="1:18" x14ac:dyDescent="0.25">
      <c r="A1" s="101" t="s">
        <v>48</v>
      </c>
      <c r="B1" s="101"/>
      <c r="C1" s="101"/>
      <c r="D1" s="101"/>
      <c r="E1" s="101"/>
      <c r="F1" s="101"/>
      <c r="G1" s="101"/>
      <c r="H1" s="101"/>
      <c r="I1" s="86"/>
      <c r="J1" s="86"/>
      <c r="K1" s="86"/>
      <c r="L1" s="86"/>
    </row>
    <row r="2" spans="1:18" ht="25.5" x14ac:dyDescent="0.25">
      <c r="A2" s="104" t="s">
        <v>49</v>
      </c>
      <c r="B2" s="104"/>
      <c r="C2" s="104"/>
      <c r="D2" s="104"/>
      <c r="E2" s="104"/>
      <c r="F2" s="104"/>
      <c r="G2" s="104"/>
      <c r="H2" s="104"/>
      <c r="I2" s="87"/>
      <c r="J2" s="87"/>
      <c r="K2" s="87"/>
      <c r="L2" s="87"/>
    </row>
    <row r="3" spans="1:18" x14ac:dyDescent="0.25">
      <c r="A3" s="102" t="s">
        <v>50</v>
      </c>
      <c r="B3" s="102"/>
      <c r="C3" s="102"/>
      <c r="D3" s="102"/>
      <c r="E3" s="102"/>
      <c r="F3" s="102"/>
      <c r="G3" s="102"/>
      <c r="H3" s="102"/>
      <c r="I3" s="88"/>
      <c r="J3" s="88"/>
      <c r="K3" s="88"/>
      <c r="L3" s="88"/>
    </row>
    <row r="4" spans="1:18" ht="18.75" customHeight="1" x14ac:dyDescent="0.25">
      <c r="A4" s="103" t="s">
        <v>51</v>
      </c>
      <c r="B4" s="103"/>
      <c r="C4" s="103"/>
      <c r="D4" s="103"/>
      <c r="E4" s="103"/>
      <c r="F4" s="103"/>
      <c r="G4" s="103"/>
      <c r="H4" s="103"/>
      <c r="I4" s="89"/>
      <c r="J4" s="89"/>
      <c r="K4" s="89"/>
      <c r="L4" s="89"/>
      <c r="N4" s="43" t="s">
        <v>43</v>
      </c>
    </row>
    <row r="5" spans="1:18" ht="18.75" customHeight="1" x14ac:dyDescent="0.25">
      <c r="A5" s="106" t="s">
        <v>52</v>
      </c>
      <c r="B5" s="106"/>
      <c r="C5" s="106"/>
      <c r="D5" s="106"/>
      <c r="E5" s="106"/>
      <c r="F5" s="106"/>
      <c r="G5" s="106"/>
      <c r="N5" s="47">
        <f>5670-444</f>
        <v>5226</v>
      </c>
      <c r="O5" s="47">
        <v>2017</v>
      </c>
      <c r="P5" s="47"/>
    </row>
    <row r="6" spans="1:18" ht="13.5" customHeight="1" x14ac:dyDescent="0.25">
      <c r="A6" s="11"/>
      <c r="B6" s="11"/>
      <c r="C6" s="11"/>
      <c r="D6" s="11"/>
      <c r="E6" s="11"/>
      <c r="F6" s="11"/>
      <c r="G6" s="11"/>
      <c r="N6" s="47">
        <f>5226-904</f>
        <v>4322</v>
      </c>
      <c r="O6" s="47">
        <v>2018</v>
      </c>
      <c r="P6" s="47"/>
    </row>
    <row r="7" spans="1:18" ht="21" customHeight="1" x14ac:dyDescent="0.25">
      <c r="A7" s="93" t="s">
        <v>53</v>
      </c>
      <c r="B7" s="93"/>
      <c r="C7" s="93"/>
      <c r="D7" s="75"/>
      <c r="E7" s="93"/>
      <c r="F7" s="94">
        <v>5670</v>
      </c>
      <c r="G7" s="95" t="s">
        <v>0</v>
      </c>
      <c r="H7" s="75"/>
      <c r="N7" s="47">
        <f>4322-1013</f>
        <v>3309</v>
      </c>
      <c r="O7" s="47">
        <v>2019</v>
      </c>
      <c r="P7" s="47"/>
    </row>
    <row r="8" spans="1:18" ht="21" customHeight="1" x14ac:dyDescent="0.25">
      <c r="A8" s="109" t="s">
        <v>6</v>
      </c>
      <c r="B8" s="109"/>
      <c r="C8" s="109"/>
      <c r="D8" s="109"/>
      <c r="E8" s="109"/>
      <c r="F8" s="109"/>
      <c r="G8" s="109"/>
      <c r="H8" s="92"/>
      <c r="N8" s="47"/>
      <c r="O8" s="47"/>
      <c r="P8" s="47"/>
    </row>
    <row r="9" spans="1:18" ht="21" customHeight="1" x14ac:dyDescent="0.25">
      <c r="A9" s="109" t="s">
        <v>58</v>
      </c>
      <c r="B9" s="109"/>
      <c r="C9" s="109"/>
      <c r="D9" s="109"/>
      <c r="E9" s="109"/>
      <c r="F9" s="109"/>
      <c r="G9" s="109"/>
      <c r="H9" s="92"/>
      <c r="N9" s="47"/>
      <c r="O9" s="47"/>
      <c r="P9" s="47"/>
    </row>
    <row r="10" spans="1:18" ht="21" customHeight="1" x14ac:dyDescent="0.25">
      <c r="A10" s="75"/>
      <c r="B10" s="75"/>
      <c r="C10" s="75"/>
      <c r="D10" s="75"/>
      <c r="E10" s="75"/>
      <c r="F10" s="75"/>
      <c r="G10" s="75"/>
      <c r="H10" s="75"/>
      <c r="N10" s="47">
        <f>3309-1854</f>
        <v>1455</v>
      </c>
      <c r="O10" s="47">
        <v>2020</v>
      </c>
      <c r="P10" s="47"/>
      <c r="Q10" s="39">
        <f>C14+C16+C19+C20+C21+C25+C26+C30+C32+C36+C38</f>
        <v>4627</v>
      </c>
      <c r="R10" s="9" t="s">
        <v>34</v>
      </c>
    </row>
    <row r="11" spans="1:18" ht="34.5" customHeight="1" x14ac:dyDescent="0.25">
      <c r="A11" s="90" t="s">
        <v>4</v>
      </c>
      <c r="B11" s="90" t="s">
        <v>5</v>
      </c>
      <c r="C11" s="107" t="s">
        <v>3</v>
      </c>
      <c r="D11" s="108"/>
      <c r="E11" s="113" t="s">
        <v>1</v>
      </c>
      <c r="F11" s="114"/>
      <c r="G11" s="91" t="s">
        <v>29</v>
      </c>
      <c r="H11" s="90" t="s">
        <v>7</v>
      </c>
      <c r="I11" s="12" t="s">
        <v>11</v>
      </c>
      <c r="K11" s="12"/>
      <c r="N11" s="47">
        <f>(170+1918)-1285</f>
        <v>803</v>
      </c>
      <c r="O11" s="47">
        <v>2021</v>
      </c>
      <c r="P11" s="47"/>
    </row>
    <row r="12" spans="1:18" ht="15.75" customHeight="1" x14ac:dyDescent="0.25">
      <c r="A12" s="56">
        <v>1</v>
      </c>
      <c r="B12" s="13" t="s">
        <v>10</v>
      </c>
      <c r="C12" s="14"/>
      <c r="D12" s="15"/>
      <c r="E12" s="16"/>
      <c r="F12" s="17"/>
      <c r="G12" s="18"/>
      <c r="H12" s="19"/>
      <c r="N12" s="47"/>
      <c r="O12" s="47"/>
      <c r="P12" s="47"/>
    </row>
    <row r="13" spans="1:18" ht="15.75" customHeight="1" x14ac:dyDescent="0.25">
      <c r="A13" s="8"/>
      <c r="B13" s="20" t="s">
        <v>8</v>
      </c>
      <c r="C13" s="21">
        <v>30</v>
      </c>
      <c r="D13" s="52" t="s">
        <v>0</v>
      </c>
      <c r="E13" s="23">
        <v>30</v>
      </c>
      <c r="F13" s="51" t="s">
        <v>0</v>
      </c>
      <c r="G13" s="25"/>
      <c r="H13" s="26"/>
      <c r="N13" s="47"/>
      <c r="O13" s="47"/>
      <c r="P13" s="47"/>
    </row>
    <row r="14" spans="1:18" ht="15.75" customHeight="1" x14ac:dyDescent="0.25">
      <c r="A14" s="8"/>
      <c r="B14" s="20" t="s">
        <v>2</v>
      </c>
      <c r="C14" s="21">
        <v>50</v>
      </c>
      <c r="D14" s="52" t="s">
        <v>0</v>
      </c>
      <c r="E14" s="23">
        <v>49</v>
      </c>
      <c r="F14" s="51" t="s">
        <v>0</v>
      </c>
      <c r="G14" s="25"/>
      <c r="H14" s="26"/>
      <c r="N14" s="47"/>
      <c r="O14" s="47"/>
      <c r="P14" s="47"/>
      <c r="Q14" s="9" t="s">
        <v>10</v>
      </c>
    </row>
    <row r="15" spans="1:18" ht="15.75" customHeight="1" x14ac:dyDescent="0.25">
      <c r="A15" s="20"/>
      <c r="B15" s="57" t="s">
        <v>9</v>
      </c>
      <c r="C15" s="21">
        <v>165</v>
      </c>
      <c r="D15" s="52" t="s">
        <v>0</v>
      </c>
      <c r="E15" s="23">
        <v>165</v>
      </c>
      <c r="F15" s="51" t="s">
        <v>0</v>
      </c>
      <c r="G15" s="25"/>
      <c r="H15" s="26"/>
      <c r="K15" s="7">
        <f>445/3912*100</f>
        <v>11.375255623721882</v>
      </c>
      <c r="N15" s="47"/>
      <c r="O15" s="47"/>
      <c r="P15" s="47"/>
      <c r="Q15" s="9">
        <f>183789-5226</f>
        <v>178563</v>
      </c>
    </row>
    <row r="16" spans="1:18" ht="15.75" customHeight="1" x14ac:dyDescent="0.25">
      <c r="A16" s="20"/>
      <c r="B16" s="57" t="s">
        <v>30</v>
      </c>
      <c r="C16" s="21">
        <v>200</v>
      </c>
      <c r="D16" s="52" t="s">
        <v>0</v>
      </c>
      <c r="E16" s="23">
        <v>200</v>
      </c>
      <c r="F16" s="51" t="s">
        <v>0</v>
      </c>
      <c r="G16" s="8"/>
      <c r="H16" s="20"/>
      <c r="N16" s="47"/>
      <c r="O16" s="47"/>
      <c r="P16" s="47"/>
      <c r="Q16" s="9">
        <f>Q15/183789</f>
        <v>0.97156521881070135</v>
      </c>
      <c r="R16" s="9">
        <f>Q16*100</f>
        <v>97.156521881070134</v>
      </c>
    </row>
    <row r="17" spans="1:25" ht="15.75" customHeight="1" x14ac:dyDescent="0.25">
      <c r="A17" s="32"/>
      <c r="B17" s="68" t="s">
        <v>26</v>
      </c>
      <c r="C17" s="27">
        <f>SUM(C13:C16)</f>
        <v>445</v>
      </c>
      <c r="D17" s="54" t="s">
        <v>0</v>
      </c>
      <c r="E17" s="29">
        <f>SUM(E13:E16)</f>
        <v>444</v>
      </c>
      <c r="F17" s="54" t="s">
        <v>0</v>
      </c>
      <c r="G17" s="31">
        <f>E17/F7*100%</f>
        <v>7.8306878306878311E-2</v>
      </c>
      <c r="H17" s="32"/>
      <c r="O17" s="7">
        <f>2986/3912*100</f>
        <v>76.329243353783227</v>
      </c>
    </row>
    <row r="18" spans="1:25" ht="15.75" customHeight="1" x14ac:dyDescent="0.25">
      <c r="A18" s="36">
        <v>2</v>
      </c>
      <c r="B18" s="58" t="s">
        <v>12</v>
      </c>
      <c r="C18" s="21"/>
      <c r="D18" s="22"/>
      <c r="E18" s="23"/>
      <c r="F18" s="24"/>
      <c r="G18" s="8"/>
      <c r="H18" s="20"/>
      <c r="Q18" s="9" t="s">
        <v>12</v>
      </c>
    </row>
    <row r="19" spans="1:25" ht="15.75" customHeight="1" x14ac:dyDescent="0.25">
      <c r="A19" s="20"/>
      <c r="B19" s="57" t="s">
        <v>13</v>
      </c>
      <c r="C19" s="21">
        <v>300</v>
      </c>
      <c r="D19" s="52" t="s">
        <v>0</v>
      </c>
      <c r="E19" s="23">
        <v>300</v>
      </c>
      <c r="F19" s="52" t="s">
        <v>0</v>
      </c>
      <c r="G19" s="8"/>
      <c r="H19" s="20"/>
      <c r="Q19" s="9">
        <f>183789-4322</f>
        <v>179467</v>
      </c>
      <c r="V19" s="9">
        <f>3308*100</f>
        <v>330800</v>
      </c>
    </row>
    <row r="20" spans="1:25" ht="15.75" customHeight="1" x14ac:dyDescent="0.25">
      <c r="A20" s="8"/>
      <c r="B20" s="59" t="s">
        <v>20</v>
      </c>
      <c r="C20" s="21">
        <v>221</v>
      </c>
      <c r="D20" s="52" t="s">
        <v>0</v>
      </c>
      <c r="E20" s="21">
        <v>221</v>
      </c>
      <c r="F20" s="52" t="s">
        <v>0</v>
      </c>
      <c r="G20" s="8"/>
      <c r="H20" s="20"/>
      <c r="J20" s="9">
        <f>5670-444</f>
        <v>5226</v>
      </c>
      <c r="Q20" s="9">
        <f>Q19/183789</f>
        <v>0.97648390273628993</v>
      </c>
      <c r="V20" s="9">
        <f>V19/183789</f>
        <v>1.79989009135476</v>
      </c>
    </row>
    <row r="21" spans="1:25" ht="15.75" customHeight="1" x14ac:dyDescent="0.25">
      <c r="A21" s="8"/>
      <c r="B21" s="57" t="s">
        <v>14</v>
      </c>
      <c r="C21" s="21">
        <v>157</v>
      </c>
      <c r="D21" s="52" t="s">
        <v>0</v>
      </c>
      <c r="E21" s="21">
        <v>157</v>
      </c>
      <c r="F21" s="52" t="s">
        <v>0</v>
      </c>
      <c r="G21" s="8"/>
      <c r="H21" s="20"/>
    </row>
    <row r="22" spans="1:25" ht="15.75" customHeight="1" x14ac:dyDescent="0.25">
      <c r="A22" s="8"/>
      <c r="B22" s="60" t="s">
        <v>9</v>
      </c>
      <c r="C22" s="35">
        <v>226</v>
      </c>
      <c r="D22" s="52" t="s">
        <v>0</v>
      </c>
      <c r="E22" s="35">
        <v>226</v>
      </c>
      <c r="F22" s="52" t="s">
        <v>0</v>
      </c>
      <c r="G22" s="36"/>
      <c r="H22" s="20"/>
      <c r="J22" s="9">
        <f>5670-444-904</f>
        <v>4322</v>
      </c>
      <c r="L22" s="7">
        <f>904/3912*100</f>
        <v>23.108384458077712</v>
      </c>
    </row>
    <row r="23" spans="1:25" ht="15.75" customHeight="1" x14ac:dyDescent="0.25">
      <c r="A23" s="32"/>
      <c r="B23" s="68" t="s">
        <v>26</v>
      </c>
      <c r="C23" s="27">
        <f>SUM(C22,C21,C20,C19)</f>
        <v>904</v>
      </c>
      <c r="D23" s="54" t="s">
        <v>0</v>
      </c>
      <c r="E23" s="29">
        <f>SUM(E22,E21,E20,E19)</f>
        <v>904</v>
      </c>
      <c r="F23" s="55" t="s">
        <v>0</v>
      </c>
      <c r="G23" s="31">
        <f>E23/F7*100%</f>
        <v>0.15943562610229278</v>
      </c>
      <c r="H23" s="32"/>
    </row>
    <row r="24" spans="1:25" ht="15.75" customHeight="1" x14ac:dyDescent="0.25">
      <c r="A24" s="36">
        <v>3</v>
      </c>
      <c r="B24" s="58" t="s">
        <v>15</v>
      </c>
      <c r="C24" s="21"/>
      <c r="D24" s="22"/>
      <c r="E24" s="23"/>
      <c r="F24" s="24"/>
      <c r="G24" s="8"/>
      <c r="H24" s="20"/>
      <c r="P24" s="39">
        <f>C15+C22+C27+C39</f>
        <v>827</v>
      </c>
      <c r="Y24" s="21">
        <v>500</v>
      </c>
    </row>
    <row r="25" spans="1:25" ht="15.75" customHeight="1" x14ac:dyDescent="0.25">
      <c r="A25" s="8"/>
      <c r="B25" s="57" t="s">
        <v>2</v>
      </c>
      <c r="C25" s="21">
        <v>500</v>
      </c>
      <c r="D25" s="52" t="s">
        <v>0</v>
      </c>
      <c r="E25" s="21">
        <v>500</v>
      </c>
      <c r="F25" s="52" t="s">
        <v>0</v>
      </c>
      <c r="G25" s="8"/>
      <c r="H25" s="20"/>
      <c r="L25" s="84">
        <f>E25+E26+E30+E32+E36+E38+E42+E44</f>
        <v>4686</v>
      </c>
      <c r="Y25" s="21">
        <v>320</v>
      </c>
    </row>
    <row r="26" spans="1:25" ht="15.75" customHeight="1" x14ac:dyDescent="0.25">
      <c r="A26" s="8"/>
      <c r="B26" s="57" t="s">
        <v>31</v>
      </c>
      <c r="C26" s="21">
        <v>320</v>
      </c>
      <c r="D26" s="52" t="s">
        <v>0</v>
      </c>
      <c r="E26" s="21">
        <v>320</v>
      </c>
      <c r="F26" s="52" t="s">
        <v>0</v>
      </c>
      <c r="G26" s="8"/>
      <c r="H26" s="20"/>
      <c r="Q26" s="9">
        <f>183789-3308</f>
        <v>180481</v>
      </c>
      <c r="Y26" s="35">
        <v>193</v>
      </c>
    </row>
    <row r="27" spans="1:25" ht="15.75" customHeight="1" x14ac:dyDescent="0.25">
      <c r="A27" s="8"/>
      <c r="B27" s="60" t="s">
        <v>9</v>
      </c>
      <c r="C27" s="35">
        <v>193</v>
      </c>
      <c r="D27" s="52" t="s">
        <v>0</v>
      </c>
      <c r="E27" s="35">
        <v>193</v>
      </c>
      <c r="F27" s="52" t="s">
        <v>0</v>
      </c>
      <c r="G27" s="37"/>
      <c r="H27" s="20"/>
      <c r="J27" s="38">
        <v>5670</v>
      </c>
      <c r="Q27" s="9">
        <f>Q26*100</f>
        <v>18048100</v>
      </c>
      <c r="Y27" s="39">
        <f>SUM(Y24:Y26)</f>
        <v>1013</v>
      </c>
    </row>
    <row r="28" spans="1:25" ht="15.75" customHeight="1" x14ac:dyDescent="0.25">
      <c r="A28" s="32"/>
      <c r="B28" s="68" t="s">
        <v>26</v>
      </c>
      <c r="C28" s="27">
        <f>SUM(C27,C26,C25)</f>
        <v>1013</v>
      </c>
      <c r="D28" s="54" t="s">
        <v>0</v>
      </c>
      <c r="E28" s="29">
        <f>SUM(E27,E26,E25)</f>
        <v>1013</v>
      </c>
      <c r="F28" s="55" t="s">
        <v>0</v>
      </c>
      <c r="G28" s="31">
        <f>E28/F7*100%</f>
        <v>0.17865961199294533</v>
      </c>
      <c r="H28" s="32"/>
      <c r="J28" s="38">
        <f>E28+E23+E17</f>
        <v>2361</v>
      </c>
      <c r="N28" s="9">
        <f>183789-3309</f>
        <v>180480</v>
      </c>
      <c r="Q28" s="9">
        <f>Q27/183789</f>
        <v>98.200109908645246</v>
      </c>
    </row>
    <row r="29" spans="1:25" ht="15.75" customHeight="1" x14ac:dyDescent="0.25">
      <c r="A29" s="36">
        <v>4</v>
      </c>
      <c r="B29" s="58" t="s">
        <v>18</v>
      </c>
      <c r="C29" s="21"/>
      <c r="D29" s="22"/>
      <c r="E29" s="23"/>
      <c r="F29" s="24"/>
      <c r="G29" s="8"/>
      <c r="H29" s="20"/>
      <c r="J29" s="38">
        <f>J27-J28</f>
        <v>3309</v>
      </c>
    </row>
    <row r="30" spans="1:25" ht="15.75" customHeight="1" x14ac:dyDescent="0.25">
      <c r="A30" s="8"/>
      <c r="B30" s="57" t="s">
        <v>2</v>
      </c>
      <c r="C30" s="21">
        <v>362</v>
      </c>
      <c r="D30" s="52" t="s">
        <v>0</v>
      </c>
      <c r="E30" s="21">
        <v>362</v>
      </c>
      <c r="F30" s="52" t="s">
        <v>0</v>
      </c>
      <c r="G30" s="8"/>
      <c r="H30" s="20"/>
    </row>
    <row r="31" spans="1:25" ht="15.75" customHeight="1" x14ac:dyDescent="0.25">
      <c r="A31" s="8"/>
      <c r="B31" s="57" t="s">
        <v>16</v>
      </c>
      <c r="C31" s="21">
        <v>67</v>
      </c>
      <c r="D31" s="52" t="s">
        <v>0</v>
      </c>
      <c r="E31" s="21">
        <v>67</v>
      </c>
      <c r="F31" s="52" t="s">
        <v>0</v>
      </c>
      <c r="G31" s="8"/>
      <c r="H31" s="20"/>
      <c r="O31" s="96">
        <f>104*1131</f>
        <v>117624</v>
      </c>
    </row>
    <row r="32" spans="1:25" ht="15.75" customHeight="1" x14ac:dyDescent="0.25">
      <c r="A32" s="8"/>
      <c r="B32" s="57" t="s">
        <v>31</v>
      </c>
      <c r="C32" s="21">
        <v>1425</v>
      </c>
      <c r="D32" s="52" t="s">
        <v>0</v>
      </c>
      <c r="E32" s="21">
        <v>1425</v>
      </c>
      <c r="F32" s="52" t="s">
        <v>0</v>
      </c>
      <c r="G32" s="8"/>
      <c r="H32" s="20"/>
      <c r="J32" s="9">
        <f>183789</f>
        <v>183789</v>
      </c>
      <c r="M32" s="40">
        <f>J33/J32*100</f>
        <v>98.199565806441086</v>
      </c>
    </row>
    <row r="33" spans="1:24" ht="15.75" customHeight="1" x14ac:dyDescent="0.25">
      <c r="A33" s="8"/>
      <c r="B33" s="60" t="s">
        <v>9</v>
      </c>
      <c r="C33" s="35" t="s">
        <v>28</v>
      </c>
      <c r="D33" s="52" t="s">
        <v>0</v>
      </c>
      <c r="E33" s="35" t="s">
        <v>28</v>
      </c>
      <c r="F33" s="52"/>
      <c r="G33" s="8"/>
      <c r="H33" s="20"/>
      <c r="J33" s="41">
        <f>J32-J29</f>
        <v>180480</v>
      </c>
      <c r="Q33" s="9">
        <f>1013/1000*100</f>
        <v>101.29999999999998</v>
      </c>
    </row>
    <row r="34" spans="1:24" ht="15.75" customHeight="1" x14ac:dyDescent="0.25">
      <c r="A34" s="32"/>
      <c r="B34" s="68" t="s">
        <v>26</v>
      </c>
      <c r="C34" s="27">
        <f>SUM(C30:C33)</f>
        <v>1854</v>
      </c>
      <c r="D34" s="54" t="s">
        <v>0</v>
      </c>
      <c r="E34" s="29">
        <f>SUM(E30:E33)</f>
        <v>1854</v>
      </c>
      <c r="F34" s="55" t="s">
        <v>0</v>
      </c>
      <c r="G34" s="31">
        <f>E34/F7*100%</f>
        <v>0.32698412698412699</v>
      </c>
      <c r="H34" s="32"/>
      <c r="K34" s="7">
        <f>3912-444</f>
        <v>3468</v>
      </c>
    </row>
    <row r="35" spans="1:24" ht="15.75" customHeight="1" x14ac:dyDescent="0.25">
      <c r="A35" s="36">
        <v>5</v>
      </c>
      <c r="B35" s="58" t="s">
        <v>19</v>
      </c>
      <c r="C35" s="21"/>
      <c r="D35" s="22"/>
      <c r="E35" s="23"/>
      <c r="F35" s="24"/>
      <c r="G35" s="8"/>
      <c r="H35" s="20"/>
    </row>
    <row r="36" spans="1:24" ht="15.75" customHeight="1" x14ac:dyDescent="0.25">
      <c r="A36" s="8"/>
      <c r="B36" s="57" t="s">
        <v>2</v>
      </c>
      <c r="C36" s="21">
        <v>292</v>
      </c>
      <c r="D36" s="52" t="s">
        <v>0</v>
      </c>
      <c r="E36" s="21">
        <v>292</v>
      </c>
      <c r="F36" s="52" t="s">
        <v>0</v>
      </c>
      <c r="G36" s="8"/>
      <c r="H36" s="20"/>
    </row>
    <row r="37" spans="1:24" ht="15.75" customHeight="1" x14ac:dyDescent="0.25">
      <c r="A37" s="8"/>
      <c r="B37" s="57" t="s">
        <v>16</v>
      </c>
      <c r="C37" s="21" t="s">
        <v>28</v>
      </c>
      <c r="D37" s="22"/>
      <c r="E37" s="21" t="s">
        <v>28</v>
      </c>
      <c r="F37" s="24"/>
      <c r="G37" s="8"/>
      <c r="H37" s="20"/>
      <c r="I37" s="39"/>
      <c r="Q37" s="9">
        <f>2151/5670*100</f>
        <v>37.936507936507937</v>
      </c>
      <c r="X37" s="9">
        <f>1854/5670</f>
        <v>0.32698412698412699</v>
      </c>
    </row>
    <row r="38" spans="1:24" ht="15.75" customHeight="1" x14ac:dyDescent="0.25">
      <c r="A38" s="20"/>
      <c r="B38" s="57" t="s">
        <v>17</v>
      </c>
      <c r="C38" s="21">
        <v>800</v>
      </c>
      <c r="D38" s="52" t="s">
        <v>0</v>
      </c>
      <c r="E38" s="21">
        <v>800</v>
      </c>
      <c r="F38" s="52" t="s">
        <v>0</v>
      </c>
      <c r="G38" s="8"/>
      <c r="H38" s="20"/>
      <c r="I38" s="42"/>
    </row>
    <row r="39" spans="1:24" ht="15.75" customHeight="1" x14ac:dyDescent="0.25">
      <c r="A39" s="20"/>
      <c r="B39" s="60" t="s">
        <v>9</v>
      </c>
      <c r="C39" s="35">
        <v>243</v>
      </c>
      <c r="D39" s="52" t="s">
        <v>0</v>
      </c>
      <c r="E39" s="35">
        <v>243</v>
      </c>
      <c r="F39" s="52" t="s">
        <v>0</v>
      </c>
      <c r="G39" s="8"/>
      <c r="H39" s="20"/>
      <c r="M39" s="9" t="s">
        <v>23</v>
      </c>
      <c r="N39" s="43">
        <f>5670-4513</f>
        <v>1157</v>
      </c>
    </row>
    <row r="40" spans="1:24" ht="15.75" customHeight="1" x14ac:dyDescent="0.25">
      <c r="A40" s="32"/>
      <c r="B40" s="69" t="s">
        <v>26</v>
      </c>
      <c r="C40" s="27">
        <f>SUM(C36:C39)</f>
        <v>1335</v>
      </c>
      <c r="D40" s="28"/>
      <c r="E40" s="27">
        <f>SUM(E36:E39)</f>
        <v>1335</v>
      </c>
      <c r="F40" s="54" t="s">
        <v>0</v>
      </c>
      <c r="G40" s="31">
        <f>E40/F7*100%</f>
        <v>0.23544973544973544</v>
      </c>
      <c r="H40" s="32"/>
      <c r="K40" s="39">
        <f>E17+E23+E28+E34</f>
        <v>4215</v>
      </c>
    </row>
    <row r="41" spans="1:24" ht="15.75" customHeight="1" x14ac:dyDescent="0.25">
      <c r="A41" s="36">
        <v>6</v>
      </c>
      <c r="B41" s="33" t="s">
        <v>25</v>
      </c>
      <c r="C41" s="21"/>
      <c r="D41" s="22"/>
      <c r="E41" s="23"/>
      <c r="F41" s="17"/>
      <c r="G41" s="8"/>
      <c r="H41" s="20"/>
      <c r="R41" s="32"/>
      <c r="S41" s="32"/>
      <c r="T41" s="32"/>
      <c r="U41" s="32"/>
    </row>
    <row r="42" spans="1:24" ht="15.75" customHeight="1" x14ac:dyDescent="0.25">
      <c r="A42" s="8"/>
      <c r="B42" s="20" t="s">
        <v>2</v>
      </c>
      <c r="C42" s="21">
        <v>433</v>
      </c>
      <c r="D42" s="52" t="s">
        <v>0</v>
      </c>
      <c r="E42" s="21">
        <v>432</v>
      </c>
      <c r="F42" s="52" t="s">
        <v>0</v>
      </c>
      <c r="G42" s="8"/>
      <c r="H42" s="20"/>
      <c r="I42" s="85" t="s">
        <v>47</v>
      </c>
      <c r="J42" s="47" t="s">
        <v>46</v>
      </c>
      <c r="R42" s="61">
        <f>17500000*282</f>
        <v>4935000000</v>
      </c>
      <c r="S42" s="62" t="s">
        <v>32</v>
      </c>
      <c r="T42" s="62"/>
      <c r="U42" s="32"/>
    </row>
    <row r="43" spans="1:24" ht="15.75" customHeight="1" x14ac:dyDescent="0.25">
      <c r="A43" s="8"/>
      <c r="B43" s="20" t="s">
        <v>16</v>
      </c>
      <c r="C43" s="21" t="s">
        <v>28</v>
      </c>
      <c r="D43" s="52"/>
      <c r="E43" s="70" t="s">
        <v>28</v>
      </c>
      <c r="F43" s="52"/>
      <c r="G43" s="8"/>
      <c r="H43" s="20"/>
      <c r="K43" s="9">
        <f>5670-4215</f>
        <v>1455</v>
      </c>
      <c r="M43" s="9">
        <f>2361+1854</f>
        <v>4215</v>
      </c>
      <c r="R43" s="61">
        <f>60000000*243</f>
        <v>14580000000</v>
      </c>
      <c r="S43" s="62" t="s">
        <v>33</v>
      </c>
      <c r="T43" s="62"/>
      <c r="U43" s="32"/>
    </row>
    <row r="44" spans="1:24" ht="15.75" customHeight="1" x14ac:dyDescent="0.25">
      <c r="A44" s="20"/>
      <c r="B44" s="20" t="s">
        <v>17</v>
      </c>
      <c r="C44" s="21">
        <v>555</v>
      </c>
      <c r="D44" s="52" t="s">
        <v>0</v>
      </c>
      <c r="E44" s="21">
        <v>555</v>
      </c>
      <c r="F44" s="52" t="s">
        <v>0</v>
      </c>
      <c r="G44" s="8"/>
      <c r="H44" s="20"/>
      <c r="K44" s="39"/>
      <c r="R44" s="63"/>
      <c r="S44" s="32"/>
      <c r="T44" s="32"/>
      <c r="U44" s="32"/>
    </row>
    <row r="45" spans="1:24" ht="15.75" customHeight="1" x14ac:dyDescent="0.25">
      <c r="A45" s="20"/>
      <c r="B45" s="34" t="s">
        <v>9</v>
      </c>
      <c r="C45" s="21">
        <v>144</v>
      </c>
      <c r="D45" s="52" t="s">
        <v>0</v>
      </c>
      <c r="E45" s="21">
        <v>144</v>
      </c>
      <c r="F45" s="52" t="s">
        <v>0</v>
      </c>
      <c r="G45" s="8"/>
      <c r="H45" s="20"/>
      <c r="M45" s="9">
        <f>5670-4251</f>
        <v>1419</v>
      </c>
    </row>
    <row r="46" spans="1:24" ht="15.75" customHeight="1" x14ac:dyDescent="0.25">
      <c r="A46" s="32"/>
      <c r="B46" s="69" t="s">
        <v>26</v>
      </c>
      <c r="C46" s="27">
        <f>C45+C44+C42</f>
        <v>1132</v>
      </c>
      <c r="D46" s="28"/>
      <c r="E46" s="29">
        <f>E45+E44+E42</f>
        <v>1131</v>
      </c>
      <c r="F46" s="30"/>
      <c r="G46" s="31">
        <f>E46/F7*100%</f>
        <v>0.19947089947089947</v>
      </c>
      <c r="H46" s="32"/>
      <c r="J46" s="44">
        <f>F7</f>
        <v>5670</v>
      </c>
      <c r="O46" s="39">
        <f>SUM(E34,E28,E23,E17)</f>
        <v>4215</v>
      </c>
    </row>
    <row r="47" spans="1:24" ht="15.75" customHeight="1" x14ac:dyDescent="0.25">
      <c r="A47" s="56">
        <v>7</v>
      </c>
      <c r="B47" s="33" t="s">
        <v>42</v>
      </c>
      <c r="C47" s="14"/>
      <c r="D47" s="15"/>
      <c r="E47" s="16"/>
      <c r="F47" s="17"/>
      <c r="G47" s="76"/>
      <c r="H47" s="81"/>
      <c r="J47" s="44"/>
      <c r="O47" s="39"/>
    </row>
    <row r="48" spans="1:24" ht="15.75" customHeight="1" x14ac:dyDescent="0.25">
      <c r="A48" s="20"/>
      <c r="B48" s="20" t="s">
        <v>2</v>
      </c>
      <c r="C48" s="21">
        <v>623</v>
      </c>
      <c r="D48" s="22" t="s">
        <v>0</v>
      </c>
      <c r="E48" s="82">
        <v>623</v>
      </c>
      <c r="F48" s="52" t="s">
        <v>0</v>
      </c>
      <c r="G48" s="80"/>
      <c r="H48" s="20"/>
      <c r="J48" s="44"/>
      <c r="O48" s="39"/>
    </row>
    <row r="49" spans="1:25" ht="15.75" customHeight="1" x14ac:dyDescent="0.25">
      <c r="A49" s="20"/>
      <c r="B49" s="20" t="s">
        <v>9</v>
      </c>
      <c r="C49" s="21">
        <v>96</v>
      </c>
      <c r="D49" s="22" t="s">
        <v>0</v>
      </c>
      <c r="E49" s="21">
        <v>96</v>
      </c>
      <c r="F49" s="52" t="s">
        <v>0</v>
      </c>
      <c r="G49" s="80"/>
      <c r="H49" s="20"/>
      <c r="J49" s="44"/>
      <c r="O49" s="39"/>
    </row>
    <row r="50" spans="1:25" ht="15.75" customHeight="1" x14ac:dyDescent="0.25">
      <c r="A50" s="20"/>
      <c r="B50" s="20" t="s">
        <v>17</v>
      </c>
      <c r="C50" s="21">
        <v>620</v>
      </c>
      <c r="D50" s="22" t="s">
        <v>0</v>
      </c>
      <c r="E50" s="21">
        <v>620</v>
      </c>
      <c r="F50" s="52" t="s">
        <v>0</v>
      </c>
      <c r="G50" s="80"/>
      <c r="H50" s="20"/>
      <c r="J50" s="44"/>
      <c r="O50" s="39"/>
    </row>
    <row r="51" spans="1:25" ht="15.75" customHeight="1" x14ac:dyDescent="0.25">
      <c r="A51" s="32"/>
      <c r="B51" s="69" t="s">
        <v>26</v>
      </c>
      <c r="C51" s="27">
        <f>SUM(C48:C50)</f>
        <v>1339</v>
      </c>
      <c r="D51" s="28"/>
      <c r="E51" s="29">
        <f>E50+E49+E48</f>
        <v>1339</v>
      </c>
      <c r="F51" s="30"/>
      <c r="G51" s="31">
        <f>E51/F7*100%</f>
        <v>0.2361552028218695</v>
      </c>
      <c r="H51" s="32"/>
      <c r="J51" s="44"/>
      <c r="O51" s="39"/>
    </row>
    <row r="52" spans="1:25" ht="15.75" customHeight="1" x14ac:dyDescent="0.25">
      <c r="A52" s="8">
        <v>8</v>
      </c>
      <c r="B52" s="33" t="s">
        <v>57</v>
      </c>
      <c r="C52" s="21"/>
      <c r="D52" s="15"/>
      <c r="E52" s="23"/>
      <c r="F52" s="24"/>
      <c r="G52" s="80"/>
      <c r="H52" s="20"/>
      <c r="J52" s="44"/>
      <c r="O52" s="39"/>
    </row>
    <row r="53" spans="1:25" ht="15.75" customHeight="1" x14ac:dyDescent="0.25">
      <c r="A53" s="20"/>
      <c r="B53" s="20" t="s">
        <v>2</v>
      </c>
      <c r="C53" s="21"/>
      <c r="D53" s="22"/>
      <c r="E53" s="23"/>
      <c r="F53" s="24"/>
      <c r="G53" s="80"/>
      <c r="H53" s="20"/>
      <c r="J53" s="44"/>
      <c r="O53" s="39"/>
    </row>
    <row r="54" spans="1:25" ht="15.75" customHeight="1" x14ac:dyDescent="0.25">
      <c r="A54" s="20"/>
      <c r="B54" s="20" t="s">
        <v>9</v>
      </c>
      <c r="C54" s="21"/>
      <c r="D54" s="22"/>
      <c r="E54" s="23"/>
      <c r="F54" s="24"/>
      <c r="G54" s="80"/>
      <c r="H54" s="20"/>
      <c r="J54" s="44"/>
      <c r="O54" s="39"/>
    </row>
    <row r="55" spans="1:25" ht="15.75" customHeight="1" x14ac:dyDescent="0.25">
      <c r="A55" s="20"/>
      <c r="B55" s="20" t="s">
        <v>17</v>
      </c>
      <c r="C55" s="21"/>
      <c r="D55" s="22"/>
      <c r="E55" s="23"/>
      <c r="F55" s="24"/>
      <c r="G55" s="80"/>
      <c r="H55" s="20"/>
      <c r="J55" s="44"/>
      <c r="O55" s="39"/>
    </row>
    <row r="56" spans="1:25" ht="15.75" customHeight="1" x14ac:dyDescent="0.25">
      <c r="A56" s="20"/>
      <c r="B56" s="34"/>
      <c r="C56" s="35"/>
      <c r="D56" s="22"/>
      <c r="E56" s="77"/>
      <c r="F56" s="78"/>
      <c r="G56" s="79"/>
      <c r="H56" s="34"/>
      <c r="J56" s="44"/>
      <c r="O56" s="39"/>
    </row>
    <row r="57" spans="1:25" ht="15.75" customHeight="1" x14ac:dyDescent="0.25">
      <c r="A57" s="32"/>
      <c r="B57" s="83" t="s">
        <v>27</v>
      </c>
      <c r="C57" s="2">
        <f>SUM(C34,C28,C23,C17,C40+C46+C51)</f>
        <v>8022</v>
      </c>
      <c r="D57" s="53" t="s">
        <v>0</v>
      </c>
      <c r="E57" s="1">
        <f>SUM(E34,E28,E23,E17,E40+E46+E51)</f>
        <v>8020</v>
      </c>
      <c r="F57" s="10" t="s">
        <v>0</v>
      </c>
      <c r="G57" s="31"/>
      <c r="H57" s="32"/>
      <c r="J57" s="45">
        <f>E57</f>
        <v>8020</v>
      </c>
      <c r="R57" s="39">
        <f>E57+753681</f>
        <v>761701</v>
      </c>
      <c r="S57" s="47" t="s">
        <v>44</v>
      </c>
      <c r="Y57" s="9">
        <f>2361/3309*100</f>
        <v>71.350861287398004</v>
      </c>
    </row>
    <row r="58" spans="1:25" ht="15.75" customHeight="1" x14ac:dyDescent="0.25">
      <c r="B58" s="3"/>
      <c r="C58" s="4"/>
      <c r="D58" s="5"/>
      <c r="E58" s="6"/>
      <c r="F58" s="7"/>
      <c r="J58" s="46">
        <f>SUM(J46-J57)</f>
        <v>-2350</v>
      </c>
      <c r="K58" s="47" t="s">
        <v>24</v>
      </c>
    </row>
    <row r="59" spans="1:25" ht="15.75" customHeight="1" x14ac:dyDescent="0.25">
      <c r="A59" s="71"/>
      <c r="B59" s="72"/>
      <c r="C59" s="4"/>
      <c r="D59" s="5"/>
      <c r="E59" s="6"/>
      <c r="F59" s="7"/>
      <c r="M59" s="9">
        <f>3001+1355</f>
        <v>4356</v>
      </c>
    </row>
    <row r="60" spans="1:25" ht="15.75" customHeight="1" x14ac:dyDescent="0.25">
      <c r="A60" s="71"/>
      <c r="B60" s="73"/>
      <c r="C60" s="115"/>
      <c r="D60" s="115"/>
      <c r="E60" s="115"/>
      <c r="F60" s="115"/>
      <c r="G60" s="115"/>
      <c r="H60" s="115"/>
    </row>
    <row r="61" spans="1:25" ht="15.75" customHeight="1" x14ac:dyDescent="0.25">
      <c r="A61" s="71"/>
      <c r="B61" s="74"/>
      <c r="C61" s="116" t="s">
        <v>45</v>
      </c>
      <c r="D61" s="116"/>
      <c r="E61" s="116"/>
      <c r="F61" s="116"/>
      <c r="G61" s="116"/>
      <c r="H61" s="116"/>
      <c r="Q61" s="9">
        <f>183789-1419/183789*100%</f>
        <v>183788.99227918973</v>
      </c>
    </row>
    <row r="62" spans="1:25" ht="15" customHeight="1" x14ac:dyDescent="0.25">
      <c r="A62" s="71"/>
      <c r="B62" s="74"/>
      <c r="C62" s="116"/>
      <c r="D62" s="116"/>
      <c r="E62" s="116"/>
      <c r="F62" s="116"/>
      <c r="G62" s="116"/>
      <c r="H62" s="116"/>
      <c r="N62" s="9">
        <f>1285/2575</f>
        <v>0.49902912621359224</v>
      </c>
      <c r="R62" s="64"/>
    </row>
    <row r="63" spans="1:25" ht="15.75" customHeight="1" x14ac:dyDescent="0.25">
      <c r="A63" s="71"/>
      <c r="B63" s="74"/>
      <c r="C63" s="48"/>
      <c r="D63" s="48"/>
      <c r="E63" s="48"/>
      <c r="F63" s="48"/>
      <c r="G63" s="48"/>
      <c r="H63" s="48"/>
    </row>
    <row r="64" spans="1:25" ht="15.75" customHeight="1" x14ac:dyDescent="0.25">
      <c r="A64" s="71"/>
      <c r="B64" s="74"/>
      <c r="C64" s="48"/>
      <c r="D64" s="48"/>
      <c r="E64" s="48"/>
      <c r="F64" s="48"/>
      <c r="G64" s="48"/>
      <c r="H64" s="48"/>
      <c r="P64" s="9">
        <f>183789-1419</f>
        <v>182370</v>
      </c>
    </row>
    <row r="65" spans="1:18" ht="14.25" customHeight="1" x14ac:dyDescent="0.25">
      <c r="A65" s="75"/>
      <c r="B65" s="75"/>
      <c r="M65" s="9">
        <f>1285/1854</f>
        <v>0.69309600862998921</v>
      </c>
    </row>
    <row r="66" spans="1:18" ht="14.25" customHeight="1" x14ac:dyDescent="0.25">
      <c r="A66" s="75"/>
      <c r="B66" s="75"/>
      <c r="D66" s="49"/>
      <c r="E66" s="49"/>
      <c r="F66" s="49"/>
      <c r="G66" s="49"/>
      <c r="H66" s="49"/>
    </row>
    <row r="67" spans="1:18" ht="14.25" customHeight="1" x14ac:dyDescent="0.25">
      <c r="A67" s="75"/>
      <c r="B67" s="75"/>
      <c r="C67" s="97" t="s">
        <v>54</v>
      </c>
      <c r="D67" s="97"/>
      <c r="E67" s="97"/>
      <c r="F67" s="97"/>
      <c r="G67" s="97"/>
      <c r="H67" s="97"/>
      <c r="P67" s="47">
        <f>182370/183789*100%</f>
        <v>0.99227918972299756</v>
      </c>
      <c r="Q67" s="9" t="s">
        <v>38</v>
      </c>
      <c r="R67" s="9" t="s">
        <v>39</v>
      </c>
    </row>
    <row r="68" spans="1:18" ht="14.25" customHeight="1" x14ac:dyDescent="0.25">
      <c r="A68" s="75"/>
      <c r="B68" s="75"/>
      <c r="C68" s="98" t="s">
        <v>55</v>
      </c>
      <c r="D68" s="98"/>
      <c r="E68" s="98"/>
      <c r="F68" s="98"/>
      <c r="G68" s="98"/>
      <c r="H68" s="98"/>
      <c r="L68" s="9">
        <f>1285/241913</f>
        <v>5.3118269791205932E-3</v>
      </c>
    </row>
    <row r="69" spans="1:18" ht="19.5" customHeight="1" x14ac:dyDescent="0.25">
      <c r="A69" s="75"/>
      <c r="B69" s="75"/>
      <c r="C69" s="99" t="s">
        <v>56</v>
      </c>
      <c r="D69" s="99"/>
      <c r="E69" s="99"/>
      <c r="F69" s="99"/>
      <c r="G69" s="99"/>
      <c r="H69" s="99"/>
    </row>
    <row r="70" spans="1:18" ht="11.25" customHeight="1" x14ac:dyDescent="0.25">
      <c r="Q70" s="9" t="s">
        <v>21</v>
      </c>
    </row>
    <row r="71" spans="1:18" ht="14.25" customHeight="1" x14ac:dyDescent="0.25">
      <c r="Q71" s="9" t="s">
        <v>22</v>
      </c>
    </row>
    <row r="72" spans="1:18" ht="14.25" customHeight="1" x14ac:dyDescent="0.25"/>
    <row r="73" spans="1:18" ht="14.25" customHeight="1" x14ac:dyDescent="0.25">
      <c r="A73" s="105"/>
      <c r="B73" s="105"/>
      <c r="D73" s="50"/>
      <c r="E73" s="50"/>
      <c r="F73" s="50"/>
      <c r="G73" s="50"/>
      <c r="H73" s="50"/>
    </row>
    <row r="74" spans="1:18" ht="14.25" customHeight="1" x14ac:dyDescent="0.25">
      <c r="A74" s="99"/>
      <c r="B74" s="99"/>
      <c r="D74" s="99"/>
      <c r="E74" s="99"/>
      <c r="F74" s="99"/>
      <c r="G74" s="99"/>
      <c r="H74" s="99"/>
      <c r="O74" s="7">
        <f>181428/183789*100</f>
        <v>98.715374695982888</v>
      </c>
    </row>
    <row r="75" spans="1:18" ht="14.25" customHeight="1" x14ac:dyDescent="0.25">
      <c r="F75" s="9">
        <v>1</v>
      </c>
      <c r="G75" s="7" t="s">
        <v>40</v>
      </c>
      <c r="J75" s="39">
        <f>E17+E23+E28</f>
        <v>2361</v>
      </c>
    </row>
    <row r="76" spans="1:18" ht="18" customHeight="1" x14ac:dyDescent="0.25">
      <c r="A76" s="99"/>
      <c r="B76" s="99"/>
      <c r="C76" s="99"/>
      <c r="D76" s="99"/>
      <c r="E76" s="99"/>
      <c r="F76" s="99"/>
      <c r="G76" s="99"/>
      <c r="H76" s="99"/>
      <c r="K76" s="67"/>
      <c r="L76" s="67"/>
      <c r="M76" s="67"/>
      <c r="N76" s="67"/>
      <c r="O76" s="67"/>
    </row>
    <row r="77" spans="1:18" ht="18" customHeight="1" x14ac:dyDescent="0.25">
      <c r="A77" s="99"/>
      <c r="B77" s="99"/>
      <c r="C77" s="99"/>
      <c r="D77" s="99"/>
      <c r="E77" s="99"/>
      <c r="F77" s="99"/>
      <c r="G77" s="99"/>
      <c r="H77" s="99"/>
      <c r="J77" s="9">
        <f>183789-2361</f>
        <v>181428</v>
      </c>
      <c r="K77" s="65"/>
      <c r="L77" s="65"/>
      <c r="M77" s="65"/>
      <c r="N77" s="65"/>
      <c r="O77" s="66"/>
    </row>
    <row r="78" spans="1:18" ht="18" customHeight="1" x14ac:dyDescent="0.25">
      <c r="A78" s="49"/>
      <c r="B78" s="49"/>
      <c r="C78" s="49"/>
      <c r="D78" s="49"/>
      <c r="E78" s="49"/>
      <c r="F78" s="49"/>
      <c r="G78" s="49"/>
      <c r="H78" s="49"/>
      <c r="K78" s="65"/>
      <c r="L78" s="65"/>
      <c r="M78" s="65"/>
      <c r="N78" s="65"/>
      <c r="O78" s="66"/>
    </row>
    <row r="79" spans="1:18" ht="18" customHeight="1" x14ac:dyDescent="0.25">
      <c r="J79" s="9">
        <f>181428/183789*100%</f>
        <v>0.98715374695982894</v>
      </c>
      <c r="K79" s="65"/>
      <c r="L79" s="65"/>
      <c r="M79" s="65"/>
      <c r="N79" s="65"/>
      <c r="O79" s="66"/>
    </row>
    <row r="80" spans="1:18" ht="18" customHeight="1" x14ac:dyDescent="0.25">
      <c r="K80" s="65"/>
      <c r="L80" s="65"/>
      <c r="M80" s="65"/>
      <c r="N80" s="65"/>
      <c r="O80" s="66"/>
      <c r="P80" s="7">
        <f>182441/183789*100</f>
        <v>99.266550228794983</v>
      </c>
    </row>
    <row r="81" spans="1:15" ht="18" customHeight="1" x14ac:dyDescent="0.25">
      <c r="F81" s="9">
        <v>2</v>
      </c>
      <c r="G81" s="7" t="s">
        <v>41</v>
      </c>
      <c r="J81" s="39">
        <f>E17+E23</f>
        <v>1348</v>
      </c>
      <c r="K81" s="65"/>
      <c r="L81" s="110"/>
      <c r="M81" s="110"/>
      <c r="N81" s="110"/>
      <c r="O81" s="66"/>
    </row>
    <row r="82" spans="1:15" ht="18" customHeight="1" x14ac:dyDescent="0.25">
      <c r="A82" s="111"/>
      <c r="B82" s="111"/>
      <c r="C82" s="111"/>
      <c r="D82" s="111"/>
      <c r="E82" s="111"/>
      <c r="F82" s="111"/>
      <c r="G82" s="111"/>
      <c r="H82" s="111"/>
      <c r="K82" s="65"/>
      <c r="L82" s="112"/>
      <c r="M82" s="112"/>
      <c r="N82" s="112"/>
      <c r="O82" s="66"/>
    </row>
    <row r="83" spans="1:15" ht="18" customHeight="1" x14ac:dyDescent="0.25">
      <c r="A83" s="99"/>
      <c r="B83" s="99"/>
      <c r="C83" s="99"/>
      <c r="D83" s="99"/>
      <c r="E83" s="99"/>
      <c r="F83" s="99"/>
      <c r="G83" s="99"/>
      <c r="H83" s="99"/>
      <c r="J83" s="9">
        <f>183789-1348</f>
        <v>182441</v>
      </c>
      <c r="K83" s="65"/>
      <c r="L83" s="100"/>
      <c r="M83" s="100"/>
      <c r="N83" s="100"/>
      <c r="O83" s="66"/>
    </row>
    <row r="84" spans="1:15" ht="14.25" customHeight="1" x14ac:dyDescent="0.25">
      <c r="A84" s="99"/>
      <c r="B84" s="99"/>
      <c r="C84" s="99"/>
      <c r="D84" s="99"/>
      <c r="E84" s="99"/>
      <c r="F84" s="99"/>
      <c r="G84" s="99"/>
      <c r="H84" s="99"/>
    </row>
    <row r="85" spans="1:15" x14ac:dyDescent="0.25">
      <c r="J85" s="9">
        <f>183789/182441*100%</f>
        <v>1.0073886900422602</v>
      </c>
    </row>
    <row r="87" spans="1:15" x14ac:dyDescent="0.25">
      <c r="B87" s="97" t="s">
        <v>35</v>
      </c>
      <c r="C87" s="97"/>
      <c r="D87" s="97"/>
      <c r="E87" s="97"/>
      <c r="F87" s="97"/>
      <c r="G87" s="97"/>
      <c r="J87" s="9">
        <f>183789-444</f>
        <v>183345</v>
      </c>
    </row>
    <row r="88" spans="1:15" x14ac:dyDescent="0.25">
      <c r="B88" s="98" t="s">
        <v>36</v>
      </c>
      <c r="C88" s="98"/>
      <c r="D88" s="98"/>
      <c r="E88" s="98"/>
      <c r="F88" s="98"/>
      <c r="G88" s="98"/>
    </row>
    <row r="89" spans="1:15" x14ac:dyDescent="0.25">
      <c r="B89" s="99" t="s">
        <v>37</v>
      </c>
      <c r="C89" s="99"/>
      <c r="D89" s="99"/>
      <c r="E89" s="99"/>
      <c r="F89" s="99"/>
      <c r="G89" s="99"/>
      <c r="J89" s="7">
        <f>183345/183789*100</f>
        <v>99.75841862135384</v>
      </c>
    </row>
  </sheetData>
  <mergeCells count="28">
    <mergeCell ref="L81:N81"/>
    <mergeCell ref="A77:H77"/>
    <mergeCell ref="A82:H82"/>
    <mergeCell ref="L82:N82"/>
    <mergeCell ref="E11:F11"/>
    <mergeCell ref="C60:H60"/>
    <mergeCell ref="C61:H62"/>
    <mergeCell ref="A1:H1"/>
    <mergeCell ref="A3:H3"/>
    <mergeCell ref="A4:H4"/>
    <mergeCell ref="A2:H2"/>
    <mergeCell ref="A76:H76"/>
    <mergeCell ref="C67:H67"/>
    <mergeCell ref="C68:H68"/>
    <mergeCell ref="C69:H69"/>
    <mergeCell ref="A73:B73"/>
    <mergeCell ref="A74:B74"/>
    <mergeCell ref="D74:H74"/>
    <mergeCell ref="A5:G5"/>
    <mergeCell ref="C11:D11"/>
    <mergeCell ref="A8:G8"/>
    <mergeCell ref="A9:G9"/>
    <mergeCell ref="B87:G87"/>
    <mergeCell ref="B88:G88"/>
    <mergeCell ref="B89:G89"/>
    <mergeCell ref="A83:H83"/>
    <mergeCell ref="L83:N83"/>
    <mergeCell ref="A84:H84"/>
  </mergeCells>
  <pageMargins left="0.27" right="0.23622047244094499" top="0.45" bottom="0.74803149606299202" header="0.31496062992126" footer="0.31496062992126"/>
  <pageSetup paperSize="5" scale="8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KOP</vt:lpstr>
      <vt:lpstr>KOP!Print_Area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 VAIO</dc:creator>
  <cp:lastModifiedBy>LENOVO</cp:lastModifiedBy>
  <cp:lastPrinted>2024-05-03T04:52:53Z</cp:lastPrinted>
  <dcterms:created xsi:type="dcterms:W3CDTF">2015-04-29T01:26:14Z</dcterms:created>
  <dcterms:modified xsi:type="dcterms:W3CDTF">2024-06-11T03:43:42Z</dcterms:modified>
</cp:coreProperties>
</file>